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al\Downloads\"/>
    </mc:Choice>
  </mc:AlternateContent>
  <xr:revisionPtr revIDLastSave="0" documentId="13_ncr:1_{967D25C8-6F2E-4C3A-928C-164AB3087997}" xr6:coauthVersionLast="47" xr6:coauthVersionMax="47" xr10:uidLastSave="{00000000-0000-0000-0000-000000000000}"/>
  <bookViews>
    <workbookView xWindow="-120" yWindow="-120" windowWidth="29040" windowHeight="15840" xr2:uid="{B1A49ECE-72CB-4AC5-8F7C-F95BECE1EDDA}"/>
  </bookViews>
  <sheets>
    <sheet name="Axial Corrugated feed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ction">#REF!</definedName>
    <definedName name="APList">#REF!</definedName>
    <definedName name="asset">#REF!</definedName>
    <definedName name="Asset_groups">#REF!</definedName>
    <definedName name="Asset_Lookup">'[1]BIA GEN'!$A$143,'[1]BIA GEN'!$A$130,'[1]BIA GEN'!$A$125,'[1]BIA GEN'!$A$120,'[1]BIA GEN'!$A$114,'[1]BIA GEN'!$A$109,'[1]BIA GEN'!$A$103,'[1]BIA GEN'!$A$98,'[1]BIA GEN'!$A$84,'[1]BIA GEN'!$A$75,'[1]BIA GEN'!$A$61,'[1]BIA GEN'!$A$54,'[1]BIA GEN'!$A$47,'[1]BIA GEN'!$A$38,'[1]BIA GEN'!$A$27,'[1]BIA GEN'!$A$19</definedName>
    <definedName name="Cont_Assess">[2]Key!$E$4:$E$11</definedName>
    <definedName name="Control_Status">#REF!</definedName>
    <definedName name="Control_Status_Lookup">[3]Lookups!$F$2:$F$9</definedName>
    <definedName name="EndYr">#REF!</definedName>
    <definedName name="Function">#REF!</definedName>
    <definedName name="Policy_Compliance">[2]Key!$E$17:$E$19</definedName>
    <definedName name="Policy_Compliance_Lookup">[3]Lookups!$G$2:$H$8</definedName>
    <definedName name="RA_DATA">#REF!</definedName>
    <definedName name="RepAch">#REF!</definedName>
    <definedName name="RepAct">#REF!</definedName>
    <definedName name="RepOpen">#REF!</definedName>
    <definedName name="RepPlan">#REF!</definedName>
    <definedName name="Score">'[4]ISMS Lookups'!$A$1:$B$3</definedName>
    <definedName name="status">[5]Lookups!$A$1:$A$3</definedName>
    <definedName name="THREAT">#REF!</definedName>
    <definedName name="treatment">#REF!</definedName>
    <definedName name="VALUE">#REF!</definedName>
    <definedName name="VULNERABILITY">#REF!</definedName>
    <definedName name="Year">#REF!</definedName>
    <definedName name="YR1_lookup">[3]Lookups!$J$2:$J$8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25" i="1"/>
  <c r="D24" i="1"/>
  <c r="D23" i="1"/>
  <c r="D22" i="1"/>
  <c r="F8" i="1"/>
  <c r="F28" i="1"/>
  <c r="F7" i="1"/>
  <c r="D8" i="1"/>
  <c r="D11" i="1" s="1"/>
  <c r="H6" i="1"/>
  <c r="D6" i="1"/>
  <c r="D13" i="1" l="1"/>
  <c r="D12" i="1"/>
  <c r="D17" i="1"/>
  <c r="D14" i="1"/>
  <c r="D15" i="1"/>
  <c r="D10" i="1"/>
  <c r="D19" i="1"/>
  <c r="D18" i="1"/>
  <c r="G17" i="1"/>
  <c r="G19" i="1"/>
  <c r="D20" i="1"/>
  <c r="G18" i="1"/>
  <c r="G20" i="1"/>
</calcChain>
</file>

<file path=xl/sharedStrings.xml><?xml version="1.0" encoding="utf-8"?>
<sst xmlns="http://schemas.openxmlformats.org/spreadsheetml/2006/main" count="49" uniqueCount="35">
  <si>
    <t>AXIAL CORRUGATED FEED (8-slots):</t>
  </si>
  <si>
    <t>enter yellow fields</t>
  </si>
  <si>
    <t xml:space="preserve">Frequency = </t>
  </si>
  <si>
    <t xml:space="preserve">f/D = </t>
  </si>
  <si>
    <t>only valid for prime focus, for offset it is = ~</t>
  </si>
  <si>
    <t xml:space="preserve">dish opening angle = </t>
  </si>
  <si>
    <t>°</t>
  </si>
  <si>
    <t xml:space="preserve">wavelength = </t>
  </si>
  <si>
    <t>mm</t>
  </si>
  <si>
    <t xml:space="preserve">pitch = </t>
  </si>
  <si>
    <t xml:space="preserve">w = </t>
  </si>
  <si>
    <t xml:space="preserve">axi = </t>
  </si>
  <si>
    <t xml:space="preserve">delta = </t>
  </si>
  <si>
    <t xml:space="preserve">Di = </t>
  </si>
  <si>
    <t>mm (2x ai)</t>
  </si>
  <si>
    <t xml:space="preserve">Ds = </t>
  </si>
  <si>
    <t>mm (2x as)</t>
  </si>
  <si>
    <t xml:space="preserve">las = </t>
  </si>
  <si>
    <t xml:space="preserve">d1 = </t>
  </si>
  <si>
    <t xml:space="preserve">d2 = </t>
  </si>
  <si>
    <t xml:space="preserve">d3 = </t>
  </si>
  <si>
    <t xml:space="preserve">d4 = </t>
  </si>
  <si>
    <t xml:space="preserve">d5 = </t>
  </si>
  <si>
    <t xml:space="preserve">d6 = </t>
  </si>
  <si>
    <t xml:space="preserve">d7 = </t>
  </si>
  <si>
    <t xml:space="preserve">d8 = </t>
  </si>
  <si>
    <t xml:space="preserve">efficiency = </t>
  </si>
  <si>
    <t>(spillover + illumination + xpol + phase_error)</t>
  </si>
  <si>
    <t>GHz (between 10 ... 76 GHz)</t>
  </si>
  <si>
    <t xml:space="preserve">illumination = </t>
  </si>
  <si>
    <t xml:space="preserve">spillover = </t>
  </si>
  <si>
    <t xml:space="preserve">xpol = </t>
  </si>
  <si>
    <t xml:space="preserve">phase = </t>
  </si>
  <si>
    <t>Note: manufacture accuracy of dimensions = +/-</t>
  </si>
  <si>
    <t>OE2IGL, v1.3 - 2025-05-03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</si>
</sst>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"/>
    <numFmt numFmtId="165" formatCode="0.000"/>
    <numFmt numFmtId="166" formatCode="0.0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1F497D"/>
      <name val="Calibri"/>
      <family val="2"/>
    </font>
    <font>
      <sz val="9"/>
      <color rgb="FF000000"/>
      <name val="Calibri"/>
      <family val="2"/>
    </font>
    <font>
      <sz val="11"/>
      <color theme="0" tint="-4.9989318521683403E-2"/>
      <name val="Calibri"/>
      <family val="2"/>
    </font>
    <font>
      <sz val="11"/>
      <color theme="0" tint="-0.1499984740745262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5CFF5C"/>
        <bgColor rgb="FFFFFFFF"/>
      </patternFill>
    </fill>
    <fill>
      <patternFill patternType="solid">
        <fgColor rgb="FFE6E6E6"/>
        <b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49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 applyProtection="1">
      <protection locked="0"/>
    </xf>
    <xf numFmtId="0" fontId="1" fillId="2" borderId="1" xfId="1" applyFill="1" applyBorder="1"/>
    <xf numFmtId="0" fontId="1" fillId="2" borderId="2" xfId="1" applyFill="1" applyBorder="1"/>
    <xf numFmtId="49" fontId="1" fillId="2" borderId="2" xfId="1" applyNumberFormat="1" applyFill="1" applyBorder="1"/>
    <xf numFmtId="164" fontId="1" fillId="2" borderId="2" xfId="1" applyNumberFormat="1" applyFill="1" applyBorder="1" applyAlignment="1">
      <alignment horizontal="left"/>
    </xf>
    <xf numFmtId="0" fontId="1" fillId="2" borderId="2" xfId="1" applyFill="1" applyBorder="1" applyProtection="1">
      <protection locked="0"/>
    </xf>
    <xf numFmtId="0" fontId="1" fillId="2" borderId="3" xfId="1" applyFill="1" applyBorder="1" applyProtection="1">
      <protection locked="0"/>
    </xf>
    <xf numFmtId="0" fontId="1" fillId="2" borderId="4" xfId="1" applyFill="1" applyBorder="1"/>
    <xf numFmtId="0" fontId="2" fillId="2" borderId="0" xfId="1" applyFont="1" applyFill="1"/>
    <xf numFmtId="0" fontId="1" fillId="2" borderId="0" xfId="1" applyFill="1"/>
    <xf numFmtId="164" fontId="1" fillId="2" borderId="0" xfId="1" applyNumberFormat="1" applyFill="1" applyAlignment="1">
      <alignment horizontal="left"/>
    </xf>
    <xf numFmtId="0" fontId="3" fillId="2" borderId="0" xfId="1" applyFont="1" applyFill="1" applyAlignment="1">
      <alignment horizontal="right"/>
    </xf>
    <xf numFmtId="0" fontId="1" fillId="2" borderId="5" xfId="1" applyFill="1" applyBorder="1" applyProtection="1">
      <protection locked="0"/>
    </xf>
    <xf numFmtId="0" fontId="4" fillId="0" borderId="0" xfId="1" applyFont="1" applyProtection="1">
      <protection locked="0"/>
    </xf>
    <xf numFmtId="0" fontId="4" fillId="2" borderId="4" xfId="1" applyFont="1" applyFill="1" applyBorder="1" applyProtection="1">
      <protection locked="0"/>
    </xf>
    <xf numFmtId="0" fontId="1" fillId="2" borderId="0" xfId="1" applyFill="1" applyProtection="1">
      <protection locked="0"/>
    </xf>
    <xf numFmtId="49" fontId="1" fillId="2" borderId="4" xfId="1" applyNumberFormat="1" applyFill="1" applyBorder="1"/>
    <xf numFmtId="0" fontId="3" fillId="2" borderId="0" xfId="1" applyFont="1" applyFill="1" applyAlignment="1" applyProtection="1">
      <alignment horizontal="right"/>
      <protection locked="0"/>
    </xf>
    <xf numFmtId="165" fontId="1" fillId="3" borderId="0" xfId="1" applyNumberFormat="1" applyFill="1" applyProtection="1">
      <protection locked="0"/>
    </xf>
    <xf numFmtId="165" fontId="1" fillId="4" borderId="0" xfId="1" applyNumberFormat="1" applyFill="1"/>
    <xf numFmtId="0" fontId="5" fillId="2" borderId="0" xfId="1" applyFont="1" applyFill="1" applyProtection="1">
      <protection locked="0"/>
    </xf>
    <xf numFmtId="165" fontId="1" fillId="4" borderId="0" xfId="1" applyNumberFormat="1" applyFill="1" applyAlignment="1">
      <alignment horizontal="left"/>
    </xf>
    <xf numFmtId="166" fontId="1" fillId="3" borderId="0" xfId="1" applyNumberFormat="1" applyFill="1" applyProtection="1">
      <protection locked="0"/>
    </xf>
    <xf numFmtId="0" fontId="1" fillId="2" borderId="4" xfId="1" applyFill="1" applyBorder="1" applyProtection="1">
      <protection locked="0"/>
    </xf>
    <xf numFmtId="165" fontId="1" fillId="5" borderId="0" xfId="1" applyNumberFormat="1" applyFill="1"/>
    <xf numFmtId="0" fontId="1" fillId="2" borderId="5" xfId="1" applyFill="1" applyBorder="1"/>
    <xf numFmtId="2" fontId="1" fillId="4" borderId="0" xfId="1" applyNumberFormat="1" applyFill="1"/>
    <xf numFmtId="166" fontId="1" fillId="4" borderId="0" xfId="1" applyNumberFormat="1" applyFill="1"/>
    <xf numFmtId="0" fontId="3" fillId="2" borderId="0" xfId="1" applyFont="1" applyFill="1"/>
    <xf numFmtId="167" fontId="3" fillId="4" borderId="0" xfId="1" applyNumberFormat="1" applyFont="1" applyFill="1"/>
    <xf numFmtId="0" fontId="1" fillId="2" borderId="6" xfId="1" applyFill="1" applyBorder="1"/>
    <xf numFmtId="0" fontId="1" fillId="2" borderId="7" xfId="1" applyFill="1" applyBorder="1"/>
    <xf numFmtId="0" fontId="1" fillId="2" borderId="8" xfId="1" applyFill="1" applyBorder="1"/>
    <xf numFmtId="0" fontId="6" fillId="2" borderId="0" xfId="1" applyFont="1" applyFill="1"/>
    <xf numFmtId="167" fontId="3" fillId="2" borderId="0" xfId="1" applyNumberFormat="1" applyFont="1" applyFill="1" applyAlignment="1">
      <alignment horizontal="right"/>
    </xf>
    <xf numFmtId="167" fontId="3" fillId="2" borderId="0" xfId="1" applyNumberFormat="1" applyFont="1" applyFill="1"/>
    <xf numFmtId="0" fontId="7" fillId="2" borderId="0" xfId="1" applyFont="1" applyFill="1"/>
  </cellXfs>
  <cellStyles count="2">
    <cellStyle name="Normal 7 2" xfId="1" xr:uid="{1055998B-656D-49E2-ABF2-3479621CF217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316919</xdr:colOff>
      <xdr:row>4</xdr:row>
      <xdr:rowOff>47624</xdr:rowOff>
    </xdr:from>
    <xdr:to>
      <xdr:col>10</xdr:col>
      <xdr:colOff>647700</xdr:colOff>
      <xdr:row>26</xdr:row>
      <xdr:rowOff>165471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AD3E4B1-1581-43ED-9ACF-12B5676A6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9939" y="870584"/>
          <a:ext cx="3333061" cy="4141207"/>
        </a:xfrm>
        <a:prstGeom prst="rect">
          <a:avLst/>
        </a:prstGeom>
      </xdr:spPr>
    </xdr:pic>
    <xdr:clientData/>
  </xdr:twoCellAnchor>
  <xdr:oneCellAnchor>
    <xdr:from>
      <xdr:col>8</xdr:col>
      <xdr:colOff>908442</xdr:colOff>
      <xdr:row>7</xdr:row>
      <xdr:rowOff>113943</xdr:rowOff>
    </xdr:from>
    <xdr:ext cx="718530" cy="1527406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562DEE4-C809-414E-93A4-F6E14A10AA7C}"/>
            </a:ext>
          </a:extLst>
        </xdr:cNvPr>
        <xdr:cNvSpPr txBox="1"/>
      </xdr:nvSpPr>
      <xdr:spPr>
        <a:xfrm rot="18869482">
          <a:off x="5883724" y="1889981"/>
          <a:ext cx="1527406" cy="7185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AT" sz="2000"/>
            <a:t>cross section</a:t>
          </a:r>
          <a:br>
            <a:rPr lang="de-AT" sz="2000"/>
          </a:br>
          <a:r>
            <a:rPr lang="de-AT" sz="2000"/>
            <a:t>of</a:t>
          </a:r>
          <a:r>
            <a:rPr lang="de-AT" sz="2000" baseline="0"/>
            <a:t> feed</a:t>
          </a:r>
          <a:endParaRPr lang="de-AT" sz="2000"/>
        </a:p>
      </xdr:txBody>
    </xdr:sp>
    <xdr:clientData/>
  </xdr:oneCellAnchor>
  <xdr:twoCellAnchor>
    <xdr:from>
      <xdr:col>10</xdr:col>
      <xdr:colOff>638175</xdr:colOff>
      <xdr:row>6</xdr:row>
      <xdr:rowOff>57150</xdr:rowOff>
    </xdr:from>
    <xdr:to>
      <xdr:col>10</xdr:col>
      <xdr:colOff>4038600</xdr:colOff>
      <xdr:row>26</xdr:row>
      <xdr:rowOff>85778</xdr:rowOff>
    </xdr:to>
    <xdr:pic>
      <xdr:nvPicPr>
        <xdr:cNvPr id="4" name="Picture1">
          <a:extLst>
            <a:ext uri="{FF2B5EF4-FFF2-40B4-BE49-F238E27FC236}">
              <a16:creationId xmlns:a16="http://schemas.microsoft.com/office/drawing/2014/main" id="{EA69156A-D833-4E9C-A7F0-DBCD73F616E3}"/>
            </a:ext>
          </a:extLst>
        </xdr:cNvPr>
        <xdr:cNvPicPr>
          <a:picLocks noChangeAspect="1"/>
          <a:extLst>
            <a:ext uri="smNativeData">
              <pm:smNativeData xmlns:pm="smNativeData" xmlns="" val="SMDATA_16_3XyVZ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HgAAAGgAAAAAAAAAAAAAAAAAAAAAAAAAAAAAABAnAAAQJwAAAAAAAAAAAAAAAAAAAAAAAAAAAAAAAAAAAAAAAAAAAAAUAAAAAAAAAMDA/wAAAAAAZAAAADIAAAAAAAAAZAAAAAAAAAB/f38ACgAAACIAAAAYAAAAAAAAAAAAAAAAAAAAAAAAAAAAAAAAAAAAJAAAACQAAAAAAAAABwAAAAAAAAAAAAAAAAAAAAAAAAAAAAAAAAAAAH9/fwAlAAAAWAAAAAAAAAAAAAAAAAAAAAAAAAAAAAAAAAAAAAAAAAAAAAAAAAAAAAAAAAAAAAAAPwAAAAAAAACghgEAAAAAAAAAAAAAAAAADAAAAAEAAAAAAAAAAAAAAAAAAAAhAAAAMAAAACwAAAAPAAAAAAAAAGAAZgMbAAAAAwAAAFYBIQLkAgAAIxMAAIEPAABHDgAAAAAAADAAAAAUAAAAAAAAAAAA//8AAAEAAAD//wAAAQA="/>
            </a:ext>
          </a:extLst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20175" y="1245870"/>
          <a:ext cx="3400425" cy="3137588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Users\steelen\AppData\Local\Microsoft\Windows\Temporary%20Internet%20Files\OLKC5AE\Interoute\Release%20Docs%20Geneva\Geneva%20DC%20Risk%20Assessment%20%20IS027001%20Master%200.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Users\ian.davis\Documents\1.%20Projects\A1%20Highways\aone%20RTP\A-one%20and%20A-one+%20Risk%20Assessment%20%20v1.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Users\steelen\AppData\Local\Microsoft\Windows\Temporary%20Internet%20Files\OLKC5AE\Ricoh\Templates\Control%20Assessment%20RICOH%20Master%20V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JAC%20(DF)\wip%20Risk%20Assessment\working%20JAC%20High%20Level%20Gap%20and%20Risk%20Assessment%20v0.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ck\Downloads\Users\steelen\AppData\Local\Microsoft\Windows\Temporary%20Internet%20Files\OLKC5AE\Ricoh\Templates\Audits\France\RFRA%20Management%20System%20Progress%2002.10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 Control"/>
      <sheetName val="BIA GEN"/>
      <sheetName val="BIA AMS"/>
      <sheetName val="Issues and risks"/>
      <sheetName val="Control Assessment"/>
      <sheetName val="Control Summary"/>
      <sheetName val="Mgmt Summary"/>
      <sheetName val="Risk Assessment &amp; Plan"/>
      <sheetName val="SOA"/>
      <sheetName val="Processes"/>
      <sheetName val="T&amp;V Summary by Control"/>
      <sheetName val="T&amp;V Summary by Threat"/>
      <sheetName val="Key"/>
      <sheetName val="RISK MASTER "/>
    </sheetNames>
    <sheetDataSet>
      <sheetData sheetId="0"/>
      <sheetData sheetId="1">
        <row r="19">
          <cell r="A19" t="str">
            <v>Data Centre Facility</v>
          </cell>
        </row>
        <row r="27">
          <cell r="A27" t="str">
            <v>Physical Access Control</v>
          </cell>
        </row>
        <row r="38">
          <cell r="A38" t="str">
            <v>3rd Party</v>
          </cell>
        </row>
        <row r="47">
          <cell r="A47" t="str">
            <v>Applications</v>
          </cell>
        </row>
        <row r="54">
          <cell r="A54" t="str">
            <v>Backups Physical &amp; Soft Asset</v>
          </cell>
        </row>
        <row r="61">
          <cell r="A61" t="str">
            <v>Data Centre network infrastructure</v>
          </cell>
        </row>
        <row r="75">
          <cell r="A75" t="str">
            <v>Customer Information - Application</v>
          </cell>
        </row>
        <row r="84">
          <cell r="A84" t="str">
            <v>Customer Information - File &amp; Print</v>
          </cell>
        </row>
        <row r="98">
          <cell r="A98" t="str">
            <v>Internal / company Documentation</v>
          </cell>
        </row>
        <row r="103">
          <cell r="A103" t="str">
            <v>Licence Information</v>
          </cell>
        </row>
        <row r="109">
          <cell r="A109" t="str">
            <v>Logs</v>
          </cell>
        </row>
        <row r="114">
          <cell r="A114" t="str">
            <v>Software</v>
          </cell>
        </row>
        <row r="120">
          <cell r="A120" t="str">
            <v>HR Info</v>
          </cell>
        </row>
        <row r="125">
          <cell r="A125" t="str">
            <v>User IT Eqpt</v>
          </cell>
        </row>
        <row r="130">
          <cell r="A130" t="str">
            <v>Remote Admin</v>
          </cell>
        </row>
        <row r="143">
          <cell r="A143" t="str">
            <v>Supporting Systems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uation and Impact Guide"/>
      <sheetName val="A-one Asset ID"/>
      <sheetName val="A-one+ Asset ID"/>
      <sheetName val="Control Assessment"/>
      <sheetName val="SOA"/>
      <sheetName val="Risk Areas"/>
      <sheetName val="Highstone RA"/>
      <sheetName val="Risk Assessment"/>
      <sheetName val="Risk Assessment and Treatment"/>
      <sheetName val="A14 3rd Parties"/>
      <sheetName val="A10 3rd Parties"/>
      <sheetName val="Risk Charts"/>
      <sheetName val="Ke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E4" t="str">
            <v>6 .00 Status Unknown</v>
          </cell>
        </row>
        <row r="5">
          <cell r="E5" t="str">
            <v>5.0 Not Compliant</v>
          </cell>
        </row>
        <row r="6">
          <cell r="E6" t="str">
            <v>4.0 Little Compliance</v>
          </cell>
        </row>
        <row r="7">
          <cell r="E7" t="str">
            <v>3.0 Some Compliance</v>
          </cell>
        </row>
        <row r="8">
          <cell r="E8" t="str">
            <v>2.0 Compliant</v>
          </cell>
        </row>
        <row r="9">
          <cell r="E9" t="str">
            <v>1.0 Compliant and Audited</v>
          </cell>
        </row>
        <row r="10">
          <cell r="E10" t="str">
            <v>0.0 the vulnerabilities addressed by this control are not relevant</v>
          </cell>
        </row>
        <row r="11">
          <cell r="E11" t="str">
            <v>0.0 Responsibility for this is transferred</v>
          </cell>
        </row>
        <row r="17">
          <cell r="E17" t="str">
            <v>Fully compliant</v>
          </cell>
        </row>
        <row r="18">
          <cell r="E18" t="str">
            <v>Some Reference</v>
          </cell>
        </row>
        <row r="19">
          <cell r="E19" t="str">
            <v>No Reference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ument Control"/>
      <sheetName val="Policies"/>
      <sheetName val="Policy Objectives Summary"/>
      <sheetName val="Control Summary"/>
      <sheetName val="Control Master"/>
      <sheetName val="3"/>
      <sheetName val="4"/>
      <sheetName val="5"/>
      <sheetName val="6"/>
      <sheetName val="8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Policy Summary"/>
      <sheetName val="Looku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 Front"/>
      <sheetName val="Management System"/>
      <sheetName val="ISMS Maturity"/>
      <sheetName val="Mgmt Summary"/>
      <sheetName val="Information Assets "/>
      <sheetName val="Control Assessment"/>
      <sheetName val="Control Objectives"/>
      <sheetName val="Third Party"/>
      <sheetName val="RISK MASTER "/>
      <sheetName val="T&amp;V Summary by Control"/>
      <sheetName val="T&amp;V Summary by Threat"/>
      <sheetName val="Lookups"/>
      <sheetName val="ISMS Lookups"/>
      <sheetName val="BIA Scoring"/>
      <sheetName val="Likelihood Scor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Lookup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6555C-3260-4509-B573-4A7C5827C326}">
  <dimension ref="A1:K29"/>
  <sheetViews>
    <sheetView tabSelected="1" workbookViewId="0">
      <selection activeCell="K3" sqref="K3"/>
    </sheetView>
  </sheetViews>
  <sheetFormatPr baseColWidth="10" defaultColWidth="11.5703125" defaultRowHeight="15" x14ac:dyDescent="0.25"/>
  <cols>
    <col min="1" max="1" width="5.85546875" style="1" customWidth="1"/>
    <col min="2" max="2" width="2.140625" style="1" customWidth="1"/>
    <col min="3" max="3" width="19.7109375" style="1" customWidth="1"/>
    <col min="4" max="4" width="9.28515625" style="1" customWidth="1"/>
    <col min="5" max="5" width="15.28515625" style="1" customWidth="1"/>
    <col min="6" max="6" width="11.28515625" style="1" customWidth="1"/>
    <col min="7" max="7" width="8.7109375" style="1" customWidth="1"/>
    <col min="8" max="8" width="7.5703125" style="1" customWidth="1"/>
    <col min="9" max="9" width="32.28515625" style="1" customWidth="1"/>
    <col min="10" max="10" width="11.42578125" style="1" customWidth="1"/>
    <col min="11" max="11" width="61.42578125" style="1" customWidth="1"/>
    <col min="12" max="16384" width="11.5703125" style="1"/>
  </cols>
  <sheetData>
    <row r="1" spans="1:11" ht="15.75" thickBot="1" x14ac:dyDescent="0.3">
      <c r="G1" s="2"/>
      <c r="H1" s="3"/>
      <c r="I1" s="4"/>
      <c r="J1" s="4"/>
      <c r="K1" s="4"/>
    </row>
    <row r="2" spans="1:11" x14ac:dyDescent="0.25">
      <c r="B2" s="5"/>
      <c r="C2" s="6"/>
      <c r="D2" s="6"/>
      <c r="E2" s="6"/>
      <c r="F2" s="6"/>
      <c r="G2" s="7"/>
      <c r="H2" s="8"/>
      <c r="I2" s="9"/>
      <c r="J2" s="9"/>
      <c r="K2" s="10"/>
    </row>
    <row r="3" spans="1:11" ht="21" x14ac:dyDescent="0.35">
      <c r="B3" s="11"/>
      <c r="C3" s="12" t="s">
        <v>0</v>
      </c>
      <c r="D3" s="13"/>
      <c r="E3" s="13"/>
      <c r="G3" s="13" t="s">
        <v>1</v>
      </c>
      <c r="H3" s="14"/>
      <c r="I3" s="15" t="s">
        <v>34</v>
      </c>
      <c r="K3" s="16"/>
    </row>
    <row r="4" spans="1:11" x14ac:dyDescent="0.25">
      <c r="A4" s="17"/>
      <c r="B4" s="18"/>
      <c r="C4" s="19"/>
      <c r="D4" s="13"/>
      <c r="E4" s="19"/>
      <c r="F4" s="19"/>
      <c r="G4" s="19"/>
      <c r="H4" s="19"/>
      <c r="I4" s="19"/>
      <c r="J4" s="19"/>
      <c r="K4" s="16"/>
    </row>
    <row r="5" spans="1:11" x14ac:dyDescent="0.25">
      <c r="A5" s="2"/>
      <c r="B5" s="20"/>
      <c r="C5" s="21" t="s">
        <v>2</v>
      </c>
      <c r="D5" s="22">
        <v>24.047999999999998</v>
      </c>
      <c r="E5" s="19" t="s">
        <v>28</v>
      </c>
      <c r="F5" s="19"/>
      <c r="G5" s="19"/>
      <c r="H5" s="4"/>
      <c r="I5" s="19"/>
      <c r="J5" s="19"/>
      <c r="K5" s="16"/>
    </row>
    <row r="6" spans="1:11" x14ac:dyDescent="0.25">
      <c r="B6" s="11"/>
      <c r="C6" s="21" t="s">
        <v>3</v>
      </c>
      <c r="D6" s="23">
        <f>1/4/TAN(D7/180*PI()/4)</f>
        <v>0.80265759040981999</v>
      </c>
      <c r="E6" s="24" t="s">
        <v>4</v>
      </c>
      <c r="F6" s="19"/>
      <c r="G6" s="19"/>
      <c r="H6" s="25">
        <f>(COS(D7/2/180*PI())+COS(ATAN(2/TAN((90-21)/180*PI()))))/4/SIN(D7/2/180*PI())</f>
        <v>0.71161127013114212</v>
      </c>
      <c r="I6" s="19"/>
      <c r="J6" s="19"/>
      <c r="K6" s="16"/>
    </row>
    <row r="7" spans="1:11" x14ac:dyDescent="0.25">
      <c r="B7" s="11"/>
      <c r="C7" s="21" t="s">
        <v>5</v>
      </c>
      <c r="D7" s="26">
        <v>69.2</v>
      </c>
      <c r="E7" s="19" t="s">
        <v>6</v>
      </c>
      <c r="F7" s="37">
        <f>D7/2</f>
        <v>34.6</v>
      </c>
      <c r="G7" s="19"/>
      <c r="H7" s="19"/>
      <c r="I7" s="19"/>
      <c r="J7" s="19"/>
      <c r="K7" s="16"/>
    </row>
    <row r="8" spans="1:11" x14ac:dyDescent="0.25">
      <c r="A8" s="4"/>
      <c r="B8" s="27"/>
      <c r="C8" s="21" t="s">
        <v>7</v>
      </c>
      <c r="D8" s="28">
        <f>299.792458/D5</f>
        <v>12.466419577511644</v>
      </c>
      <c r="E8" s="19" t="s">
        <v>8</v>
      </c>
      <c r="F8" s="40">
        <f>IF(D5&lt;30,0.05,IF(D5&lt;55,0.025,IF(D5&lt;80,0.02,0.025)))</f>
        <v>0.05</v>
      </c>
      <c r="G8" s="19"/>
      <c r="H8" s="19"/>
      <c r="I8" s="19"/>
      <c r="J8" s="19"/>
      <c r="K8" s="16"/>
    </row>
    <row r="9" spans="1:11" x14ac:dyDescent="0.25">
      <c r="B9" s="11"/>
      <c r="C9" s="13"/>
      <c r="D9" s="13"/>
      <c r="E9" s="13"/>
      <c r="F9" s="13"/>
      <c r="G9" s="13"/>
      <c r="H9" s="13"/>
      <c r="I9" s="13"/>
      <c r="J9" s="13"/>
      <c r="K9" s="29"/>
    </row>
    <row r="10" spans="1:11" x14ac:dyDescent="0.25">
      <c r="B10" s="11"/>
      <c r="C10" s="21" t="s">
        <v>9</v>
      </c>
      <c r="D10" s="30">
        <f xml:space="preserve"> MROUND((-0.00000001943456*F7^6 + 0.00000580701576*F7^5 - 0.00071430245022*F7^4 + 0.04626950924452*F7^3 - 1.66388685235657*F7^2 + 31.4936747627407*F7 - 244.87307321318)*D8,F8)</f>
        <v>3.95</v>
      </c>
      <c r="E10" s="13" t="s">
        <v>8</v>
      </c>
      <c r="F10" s="13"/>
      <c r="G10" s="13"/>
      <c r="H10" s="13"/>
      <c r="I10" s="13"/>
      <c r="J10" s="13"/>
      <c r="K10" s="29"/>
    </row>
    <row r="11" spans="1:11" x14ac:dyDescent="0.25">
      <c r="B11" s="11"/>
      <c r="C11" s="21" t="s">
        <v>10</v>
      </c>
      <c r="D11" s="30">
        <f>MROUND((-0.00000001026365*F7^6 + 0.00000307718287*F7^5 - 0.00037973442892*F7^4 + 0.02466871953165*F7^3 - 0.88924335002644*F7^2 + 16.8630255989722*F7 - 131.265757578395)*D8,F8)</f>
        <v>2.5</v>
      </c>
      <c r="E11" s="13" t="s">
        <v>8</v>
      </c>
      <c r="F11" s="13"/>
      <c r="G11" s="13"/>
      <c r="H11" s="13"/>
      <c r="I11" s="13"/>
      <c r="J11" s="13"/>
      <c r="K11" s="29"/>
    </row>
    <row r="12" spans="1:11" x14ac:dyDescent="0.25">
      <c r="B12" s="11"/>
      <c r="C12" s="21" t="s">
        <v>11</v>
      </c>
      <c r="D12" s="30">
        <f>MROUND((-0.00000001276578*F7^6 + 0.00000387448824*F7^5 - 0.00048450384346*F7^4 + 0.0319315206097*F7^3 - 1.16913459709757*F7^2 + 22.5315486162951*F7 - 178.146723619519)*D8,F8)</f>
        <v>3.75</v>
      </c>
      <c r="E12" s="13" t="s">
        <v>8</v>
      </c>
      <c r="F12" s="13"/>
      <c r="G12" s="13"/>
      <c r="H12" s="13"/>
      <c r="I12" s="13"/>
      <c r="J12" s="13"/>
      <c r="K12" s="29"/>
    </row>
    <row r="13" spans="1:11" x14ac:dyDescent="0.25">
      <c r="B13" s="11"/>
      <c r="C13" s="21" t="s">
        <v>12</v>
      </c>
      <c r="D13" s="30">
        <f>IF((-0.00000000328932*F7^6 + 0.00000108772752*F7^5 - 0.00014611132917*F7^4 + 0.01019197739421*F7^3 - 0.38892601579725*F7^2 + 7.69924359810615*F7 - 61.8459989151229)*D8&gt;0,MROUND((-0.00000000328932*F7^6 + 0.00000108772752*F7^5 - 0.00014611132917*F7^4 + 0.01019197739421*F7^3 - 0.38892601579725*F7^2 + 7.69924359810615*F7 - 61.8459989151229)*D8,F8),0)</f>
        <v>0</v>
      </c>
      <c r="E13" s="13" t="s">
        <v>8</v>
      </c>
      <c r="F13" s="13"/>
      <c r="G13" s="13"/>
      <c r="H13" s="13"/>
      <c r="I13" s="13"/>
      <c r="J13" s="13"/>
      <c r="K13" s="29"/>
    </row>
    <row r="14" spans="1:11" x14ac:dyDescent="0.25">
      <c r="B14" s="11"/>
      <c r="C14" s="21" t="s">
        <v>13</v>
      </c>
      <c r="D14" s="30">
        <f>MROUND((-0.00000000603385*F7^6 + 0.00000175551981*F7^5 - 0.00021007569785*F7^4 + 0.01323807972209*F7^3 - 0.46360989765963*F7^2 + 8.56033691392718*F7 - 64.7214446050261)*D8*2,F8)</f>
        <v>10.4</v>
      </c>
      <c r="E14" s="13" t="s">
        <v>14</v>
      </c>
      <c r="F14" s="13"/>
      <c r="G14" s="13"/>
      <c r="H14" s="13"/>
      <c r="I14" s="13"/>
      <c r="J14" s="13"/>
      <c r="K14" s="29"/>
    </row>
    <row r="15" spans="1:11" x14ac:dyDescent="0.25">
      <c r="B15" s="11"/>
      <c r="C15" s="21" t="s">
        <v>15</v>
      </c>
      <c r="D15" s="30">
        <f>MROUND((-0.00000000602344*F7^6 + 0.0000017926671*F7^5 - 0.00022054116691*F7^4 + 0.01435501543616*F7^3 - 0.52101032186403*F7^2 + 9.97238208916208*F7 - 77.7979751027636)*D8*2,F8)</f>
        <v>15.100000000000001</v>
      </c>
      <c r="E15" s="13" t="s">
        <v>16</v>
      </c>
      <c r="F15" s="13"/>
      <c r="G15" s="13"/>
      <c r="H15" s="13"/>
      <c r="I15" s="13"/>
      <c r="J15" s="13"/>
      <c r="K15" s="29"/>
    </row>
    <row r="16" spans="1:11" x14ac:dyDescent="0.25">
      <c r="B16" s="11"/>
      <c r="C16" s="21" t="s">
        <v>17</v>
      </c>
      <c r="D16" s="31">
        <v>3</v>
      </c>
      <c r="E16" s="13" t="s">
        <v>8</v>
      </c>
      <c r="F16" s="13"/>
      <c r="G16" s="13"/>
      <c r="H16" s="13"/>
      <c r="I16" s="13"/>
      <c r="J16" s="13"/>
      <c r="K16" s="29"/>
    </row>
    <row r="17" spans="2:11" x14ac:dyDescent="0.25">
      <c r="B17" s="11"/>
      <c r="C17" s="21" t="s">
        <v>18</v>
      </c>
      <c r="D17" s="30">
        <f xml:space="preserve"> MROUND((0.000000008997*F7^5 - 0.000003497854*F7^4 + 0.000459614437*F7^3 - 0.027188476792*F7^2 + 0.749054352985*F7 - 7.59942432807)*D8,F8)</f>
        <v>3</v>
      </c>
      <c r="E17" s="13" t="s">
        <v>8</v>
      </c>
      <c r="F17" s="15" t="s">
        <v>19</v>
      </c>
      <c r="G17" s="30">
        <f>MROUND(0.25*D8,F8)</f>
        <v>3.1</v>
      </c>
      <c r="H17" s="13" t="s">
        <v>8</v>
      </c>
      <c r="I17" s="13"/>
      <c r="J17" s="13"/>
      <c r="K17" s="29"/>
    </row>
    <row r="18" spans="2:11" x14ac:dyDescent="0.25">
      <c r="B18" s="11"/>
      <c r="C18" s="21" t="s">
        <v>20</v>
      </c>
      <c r="D18" s="30">
        <f>MROUND(0.25*D8,F8)</f>
        <v>3.1</v>
      </c>
      <c r="E18" s="13" t="s">
        <v>8</v>
      </c>
      <c r="F18" s="15" t="s">
        <v>21</v>
      </c>
      <c r="G18" s="30">
        <f>MROUND(0.25*D8,F8)</f>
        <v>3.1</v>
      </c>
      <c r="H18" s="13" t="s">
        <v>8</v>
      </c>
      <c r="I18" s="13"/>
      <c r="J18" s="13"/>
      <c r="K18" s="29"/>
    </row>
    <row r="19" spans="2:11" x14ac:dyDescent="0.25">
      <c r="B19" s="11"/>
      <c r="C19" s="21" t="s">
        <v>22</v>
      </c>
      <c r="D19" s="30">
        <f>MROUND(0.25*D8,F8)</f>
        <v>3.1</v>
      </c>
      <c r="E19" s="13" t="s">
        <v>8</v>
      </c>
      <c r="F19" s="15" t="s">
        <v>23</v>
      </c>
      <c r="G19" s="30">
        <f>MROUND(0.25*D8,F8)</f>
        <v>3.1</v>
      </c>
      <c r="H19" s="13" t="s">
        <v>8</v>
      </c>
      <c r="I19" s="13"/>
      <c r="J19" s="13"/>
      <c r="K19" s="29"/>
    </row>
    <row r="20" spans="2:11" x14ac:dyDescent="0.25">
      <c r="B20" s="11"/>
      <c r="C20" s="21" t="s">
        <v>24</v>
      </c>
      <c r="D20" s="30">
        <f>MROUND(0.25*D8,F8)</f>
        <v>3.1</v>
      </c>
      <c r="E20" s="13" t="s">
        <v>8</v>
      </c>
      <c r="F20" s="15" t="s">
        <v>25</v>
      </c>
      <c r="G20" s="30">
        <f>MROUND(0.25*D8,F8)</f>
        <v>3.1</v>
      </c>
      <c r="H20" s="13" t="s">
        <v>8</v>
      </c>
      <c r="I20" s="13"/>
      <c r="J20" s="13"/>
      <c r="K20" s="29"/>
    </row>
    <row r="21" spans="2:11" x14ac:dyDescent="0.25">
      <c r="B21" s="11"/>
      <c r="C21" s="32"/>
      <c r="D21" s="13"/>
      <c r="E21" s="13"/>
      <c r="F21" s="13"/>
      <c r="G21" s="13"/>
      <c r="H21" s="13"/>
      <c r="I21" s="13"/>
      <c r="J21" s="13"/>
      <c r="K21" s="29"/>
    </row>
    <row r="22" spans="2:11" x14ac:dyDescent="0.25">
      <c r="B22" s="11"/>
      <c r="C22" s="15" t="s">
        <v>26</v>
      </c>
      <c r="D22" s="33">
        <f xml:space="preserve"> 0.000000025108*F7^5 - 0.000005974825*F7^4 + 0.000557065005*F7^3 - 0.025474034117*F7^2 + 0.574333681496*F7 - 4.315056324913</f>
        <v>0.81698884879577349</v>
      </c>
      <c r="E22" s="13" t="s">
        <v>27</v>
      </c>
      <c r="F22" s="13"/>
      <c r="G22" s="13"/>
      <c r="H22" s="13"/>
      <c r="I22" s="13"/>
      <c r="J22" s="13"/>
      <c r="K22" s="29"/>
    </row>
    <row r="23" spans="2:11" x14ac:dyDescent="0.25">
      <c r="B23" s="11"/>
      <c r="C23" s="15" t="s">
        <v>30</v>
      </c>
      <c r="D23" s="39">
        <f xml:space="preserve"> 0.000000023297*F7^5 - 0.000005600765*F7^4 + 0.000534442802*F7^3 - 0.025340583761*F7^2 + 0.598518748294*F7 - 4.729858376515</f>
        <v>0.90799576550172656</v>
      </c>
      <c r="E23" s="13"/>
      <c r="F23" s="13"/>
      <c r="G23" s="13"/>
      <c r="H23" s="13"/>
      <c r="I23" s="13"/>
      <c r="J23" s="13"/>
      <c r="K23" s="29"/>
    </row>
    <row r="24" spans="2:11" x14ac:dyDescent="0.25">
      <c r="B24" s="11"/>
      <c r="C24" s="15" t="s">
        <v>29</v>
      </c>
      <c r="D24" s="39">
        <f xml:space="preserve"> 0.000000004751*F7^5 - 0.000000979049*F7^4 + 0.000070741574*F7^3 - 0.001960855586*F7^2 + 0.008708562585*F7 + 1.187451741128</f>
        <v>0.90397838147891996</v>
      </c>
      <c r="E24" s="13"/>
      <c r="F24" s="13"/>
      <c r="G24" s="13"/>
      <c r="H24" s="13"/>
      <c r="I24" s="13"/>
      <c r="J24" s="13"/>
      <c r="K24" s="29"/>
    </row>
    <row r="25" spans="2:11" x14ac:dyDescent="0.25">
      <c r="B25" s="11"/>
      <c r="C25" s="15" t="s">
        <v>31</v>
      </c>
      <c r="D25" s="38">
        <f xml:space="preserve"> 0.00000000312*F7^5 - 0.000000837047*F7^4 + 0.000086311799*F7^3 - 0.004315737998*F7^2 + 0.105237362975*F7 - 0.008829845169</f>
        <v>0.99600539487475148</v>
      </c>
      <c r="E25" s="13"/>
      <c r="F25" s="13"/>
      <c r="G25" s="13"/>
      <c r="H25" s="13"/>
      <c r="I25" s="13"/>
      <c r="J25" s="13"/>
      <c r="K25" s="29"/>
    </row>
    <row r="26" spans="2:11" x14ac:dyDescent="0.25">
      <c r="B26" s="11"/>
      <c r="C26" s="15" t="s">
        <v>32</v>
      </c>
      <c r="D26" s="38">
        <f>-0.000000007497*F7^5 + 0.000001795988*F7^4 - 0.000168767927*F7^3 + 0.007768529977*F7^2 - 0.175151686508*F7 + 2.546493779355</f>
        <v>0.99798943180826871</v>
      </c>
      <c r="E26" s="13"/>
      <c r="F26" s="13"/>
      <c r="G26" s="13"/>
      <c r="H26" s="13"/>
      <c r="I26" s="13"/>
      <c r="J26" s="13"/>
      <c r="K26" s="29"/>
    </row>
    <row r="27" spans="2:11" x14ac:dyDescent="0.25">
      <c r="B27" s="11"/>
      <c r="C27" s="32"/>
      <c r="D27" s="13"/>
      <c r="E27" s="13"/>
      <c r="F27" s="13"/>
      <c r="G27" s="13"/>
      <c r="H27" s="13"/>
      <c r="I27" s="13"/>
      <c r="J27" s="13"/>
      <c r="K27" s="29"/>
    </row>
    <row r="28" spans="2:11" x14ac:dyDescent="0.25">
      <c r="B28" s="11"/>
      <c r="C28" s="13" t="s">
        <v>33</v>
      </c>
      <c r="D28" s="13"/>
      <c r="E28" s="13"/>
      <c r="F28" s="13">
        <f>IF(D5&lt;30,0.1,IF(D5&lt;55,0.05,IF(D5&lt;80,0.02,0.025)))</f>
        <v>0.1</v>
      </c>
      <c r="G28" s="13" t="s">
        <v>8</v>
      </c>
      <c r="H28" s="13"/>
      <c r="I28" s="13"/>
      <c r="J28" s="13"/>
      <c r="K28" s="29"/>
    </row>
    <row r="29" spans="2:11" ht="15.75" thickBo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6"/>
    </row>
  </sheetData>
  <sheetProtection sheet="1" objects="1" scenarios="1"/>
  <pageMargins left="0.7" right="0.7" top="0.78740157499999996" bottom="0.78740157499999996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Axial Corrugated feed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OE2IGL Gerald</cp:lastModifiedBy>
  <dcterms:created xsi:type="dcterms:W3CDTF">2025-04-19T08:47:03Z</dcterms:created>
  <dcterms:modified xsi:type="dcterms:W3CDTF">2025-05-03T16:45:41Z</dcterms:modified>
</cp:coreProperties>
</file>